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profibercz.sharepoint.com/sites/PROFiber/kolen/_LEKTOR-podklady/ICT-13_přístupové sítě nové generace NGA a jejich měření/Kalkulacka_TCP+UDP/"/>
    </mc:Choice>
  </mc:AlternateContent>
  <xr:revisionPtr revIDLastSave="3" documentId="8_{ED94129B-C197-4BEB-B333-80DC0126B1C6}" xr6:coauthVersionLast="47" xr6:coauthVersionMax="47" xr10:uidLastSave="{B1C2B2F5-1145-40B8-A9C8-BD3F2E5D55AF}"/>
  <workbookProtection workbookAlgorithmName="SHA-512" workbookHashValue="TQFMCzWCm91WvNAmHlJ0IQb/H4qmsBztf+lPrhBZU2WXfao4mM7GsCwlazNPm3ZyDm6IhsYiLtOsnzMiU2azXA==" workbookSaltValue="a1KjW+Skexh67fBnq4u9NA==" workbookSpinCount="100000" lockStructure="1"/>
  <bookViews>
    <workbookView xWindow="-110" yWindow="-110" windowWidth="19420" windowHeight="10420" tabRatio="611" xr2:uid="{00000000-000D-0000-FFFF-FFFF00000000}"/>
  </bookViews>
  <sheets>
    <sheet name="List1" sheetId="1" r:id="rId1"/>
    <sheet name="Vypocty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B30" i="1"/>
  <c r="B109" i="2"/>
  <c r="G99" i="2" s="1"/>
  <c r="H99" i="2" s="1"/>
  <c r="D2" i="2" l="1"/>
  <c r="M17" i="2" s="1"/>
  <c r="B12" i="2"/>
  <c r="B2" i="2"/>
  <c r="C2" i="2" s="1"/>
  <c r="G13" i="2" l="1"/>
  <c r="I14" i="2"/>
  <c r="M16" i="2"/>
  <c r="K15" i="2"/>
  <c r="G17" i="2"/>
  <c r="I17" i="2"/>
  <c r="K17" i="2"/>
  <c r="B98" i="2"/>
  <c r="B106" i="2" s="1"/>
  <c r="B13" i="2" s="1"/>
  <c r="E19" i="1" s="1"/>
  <c r="I2" i="2"/>
  <c r="J2" i="2"/>
  <c r="G16" i="2" l="1"/>
  <c r="I10" i="2"/>
  <c r="J10" i="2" s="1"/>
  <c r="E2" i="2"/>
  <c r="F2" i="2"/>
  <c r="K2" i="2"/>
  <c r="L2" i="2" s="1"/>
  <c r="G15" i="2"/>
  <c r="G2" i="2"/>
  <c r="G14" i="2"/>
  <c r="M13" i="2"/>
  <c r="M14" i="2" s="1"/>
  <c r="H2" i="2" l="1"/>
  <c r="K13" i="2" s="1"/>
  <c r="M15" i="2"/>
  <c r="K14" i="2" l="1"/>
  <c r="O14" i="2" s="1"/>
  <c r="P14" i="2" s="1"/>
  <c r="E27" i="1" s="1"/>
  <c r="K16" i="2"/>
  <c r="I7" i="2"/>
  <c r="I13" i="2"/>
  <c r="J7" i="2" l="1"/>
  <c r="I15" i="2"/>
  <c r="O15" i="2" s="1"/>
  <c r="P15" i="2" s="1"/>
  <c r="E26" i="1" s="1"/>
  <c r="I16" i="2"/>
  <c r="O16" i="2" s="1"/>
  <c r="P16" i="2" s="1"/>
  <c r="E24" i="1" s="1"/>
  <c r="O13" i="2"/>
  <c r="P13" i="2" s="1"/>
  <c r="E28" i="1" s="1"/>
  <c r="I9" i="2"/>
  <c r="J9" i="2" s="1"/>
</calcChain>
</file>

<file path=xl/sharedStrings.xml><?xml version="1.0" encoding="utf-8"?>
<sst xmlns="http://schemas.openxmlformats.org/spreadsheetml/2006/main" count="116" uniqueCount="81">
  <si>
    <t>Potřebujete přepočítat rychlosti L1-L4 ?</t>
  </si>
  <si>
    <t>a nevíte jak?</t>
  </si>
  <si>
    <t>...jak jednoduché: stačí 1-2-3</t>
  </si>
  <si>
    <t>1. zadejte rychlost přenosu (a udejte na jaké vrstvě L1-L4)</t>
  </si>
  <si>
    <t>zadejte hodnotu</t>
  </si>
  <si>
    <t>Rychlost</t>
  </si>
  <si>
    <t>Mb/s</t>
  </si>
  <si>
    <t>Rychlost = Propustnost = Throughput</t>
  </si>
  <si>
    <t>více …</t>
  </si>
  <si>
    <t>Vrstva (ISO/OSI)</t>
  </si>
  <si>
    <t>1 až 4</t>
  </si>
  <si>
    <t>Vrstva dle referenčního modelu ISO OSI</t>
  </si>
  <si>
    <t>2. upřesněte nebo potvrďte velikost MTU a TCP záhlavi</t>
  </si>
  <si>
    <t>Velikost IP MTU</t>
  </si>
  <si>
    <t>B</t>
  </si>
  <si>
    <t>MTU = Maximum Transmision Unit</t>
  </si>
  <si>
    <t>modení technologie běžně 1500 B (starší technologie méně, např. jen 1200 B)</t>
  </si>
  <si>
    <t>Velikost ETH MTU (+18B k IP MTU)</t>
  </si>
  <si>
    <t>informativní přepočet, zpřesnění</t>
  </si>
  <si>
    <t>Velikost TCP záhlaví</t>
  </si>
  <si>
    <t xml:space="preserve">Doporučená hodnota: 20 B. </t>
  </si>
  <si>
    <t xml:space="preserve">Při měření dle metodiky ČTÚ 36 B </t>
  </si>
  <si>
    <t>Přípustný rozsah záhlaví: 20-60 B</t>
  </si>
  <si>
    <t>3. Přečtěte si výsledek:</t>
  </si>
  <si>
    <t>L4</t>
  </si>
  <si>
    <t>Rychlost ve smlouvě = propustnost na transportní vrstvě modelu ISO/OSI</t>
  </si>
  <si>
    <t>dle ČTÚ</t>
  </si>
  <si>
    <t>VO-S/1/08.2020-9</t>
  </si>
  <si>
    <t>L3</t>
  </si>
  <si>
    <t>L2</t>
  </si>
  <si>
    <t>L1</t>
  </si>
  <si>
    <t>Pozn:</t>
  </si>
  <si>
    <t>uvedené rychlosti se mohou mírně lišit od skutečných rychlostí z důvodu "rámcovani" na L2 (MAC vrstvě - podrobně viz. odkaz)</t>
  </si>
  <si>
    <t>odkaz</t>
  </si>
  <si>
    <t>vytvořeno pro potřeby</t>
  </si>
  <si>
    <r>
      <t xml:space="preserve">AKADEMIE VLÁKNOVÉ OPTIKY A OPTICKÝCH KOMUNIKACÍ </t>
    </r>
    <r>
      <rPr>
        <u/>
        <vertAlign val="superscript"/>
        <sz val="9"/>
        <color theme="10"/>
        <rFont val="Tahoma"/>
        <family val="2"/>
        <charset val="238"/>
      </rPr>
      <t>®</t>
    </r>
  </si>
  <si>
    <t>budeme vděčni za vaše náměty a komentáře</t>
  </si>
  <si>
    <t xml:space="preserve">více o  aplikacich </t>
  </si>
  <si>
    <t>https://www.profiber.eu/cz/aplikace/</t>
  </si>
  <si>
    <t>© PROFiber Networking s.r.o.</t>
  </si>
  <si>
    <t>kb/s</t>
  </si>
  <si>
    <t>b/s</t>
  </si>
  <si>
    <t>L ISO/OSI</t>
  </si>
  <si>
    <t>L2 do L1 (b/s)</t>
  </si>
  <si>
    <t>L3 do L1 (b/s)</t>
  </si>
  <si>
    <t>L4 do L1 (b/s)</t>
  </si>
  <si>
    <t>L1 (b/s)</t>
  </si>
  <si>
    <t>L3 do L4 (b/s)</t>
  </si>
  <si>
    <t>L2 do L4 (b/s)</t>
  </si>
  <si>
    <t>L1 do L4 (b/s)</t>
  </si>
  <si>
    <t>L4 (b/s)</t>
  </si>
  <si>
    <t>Maximální hodnota IP MTU</t>
  </si>
  <si>
    <t>L1 do</t>
  </si>
  <si>
    <t>L2 do</t>
  </si>
  <si>
    <t>L3 do</t>
  </si>
  <si>
    <t>L4 do</t>
  </si>
  <si>
    <t>VYSLEDEK</t>
  </si>
  <si>
    <t>Frame size (Y.1564) = ETH MTU</t>
  </si>
  <si>
    <t>Trigger</t>
  </si>
  <si>
    <t>https://support.excentis.com/index.php?/Knowledgebase/Article/View/29</t>
  </si>
  <si>
    <t>`- reference</t>
  </si>
  <si>
    <t>Parametry protokolů (B)</t>
  </si>
  <si>
    <t>IP MTU</t>
  </si>
  <si>
    <t>Preamble (L 1)</t>
  </si>
  <si>
    <t>SFD (L 1)</t>
  </si>
  <si>
    <t>IFG (L 1)</t>
  </si>
  <si>
    <t>MAC SRC (L 2)</t>
  </si>
  <si>
    <t>MAC DST (L 2)</t>
  </si>
  <si>
    <t>802.1Q (L 2)</t>
  </si>
  <si>
    <t>TYP (L 2)</t>
  </si>
  <si>
    <t>Payload (L 2)</t>
  </si>
  <si>
    <t>CRC32 (L 2)</t>
  </si>
  <si>
    <t>IP (L 3)</t>
  </si>
  <si>
    <t>min</t>
  </si>
  <si>
    <t>max</t>
  </si>
  <si>
    <t>TCP (L 4)</t>
  </si>
  <si>
    <t>L1 sum</t>
  </si>
  <si>
    <t>L2 sum</t>
  </si>
  <si>
    <t>L3 sum</t>
  </si>
  <si>
    <t>L4 sum</t>
  </si>
  <si>
    <t>Total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</si>
</sst>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[$$-409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  <charset val="238"/>
    </font>
    <font>
      <u/>
      <sz val="11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rgb="FF7030A0"/>
      <name val="Tahoma"/>
      <family val="2"/>
      <charset val="238"/>
    </font>
    <font>
      <sz val="10"/>
      <color rgb="FF7030A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9"/>
      <name val="Tahoma"/>
      <family val="2"/>
      <charset val="238"/>
    </font>
    <font>
      <u/>
      <sz val="9"/>
      <color theme="10"/>
      <name val="Tahoma"/>
      <family val="2"/>
      <charset val="238"/>
    </font>
    <font>
      <u/>
      <vertAlign val="superscript"/>
      <sz val="9"/>
      <color theme="10"/>
      <name val="Tahoma"/>
      <family val="2"/>
      <charset val="238"/>
    </font>
    <font>
      <sz val="8"/>
      <name val="Tahoma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Tahoma"/>
      <family val="2"/>
      <charset val="238"/>
    </font>
    <font>
      <sz val="11"/>
      <color theme="0" tint="-0.499984740745262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color theme="0" tint="-0.499984740745262"/>
      <name val="Tahoma"/>
      <family val="2"/>
    </font>
    <font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7" fillId="0" borderId="0"/>
    <xf numFmtId="0" fontId="13" fillId="0" borderId="0"/>
    <xf numFmtId="165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/>
    </xf>
    <xf numFmtId="0" fontId="3" fillId="2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5" xfId="1" applyFill="1" applyBorder="1"/>
    <xf numFmtId="0" fontId="2" fillId="2" borderId="6" xfId="1" applyFill="1" applyBorder="1" applyAlignment="1">
      <alignment horizontal="right" vertical="center"/>
    </xf>
    <xf numFmtId="0" fontId="2" fillId="2" borderId="6" xfId="1" applyFill="1" applyBorder="1" applyAlignment="1">
      <alignment horizontal="right"/>
    </xf>
    <xf numFmtId="0" fontId="2" fillId="2" borderId="7" xfId="1" applyFill="1" applyBorder="1"/>
    <xf numFmtId="0" fontId="2" fillId="2" borderId="8" xfId="1" applyFill="1" applyBorder="1"/>
    <xf numFmtId="0" fontId="2" fillId="2" borderId="9" xfId="1" applyFill="1" applyBorder="1"/>
    <xf numFmtId="0" fontId="2" fillId="2" borderId="10" xfId="1" applyFill="1" applyBorder="1"/>
    <xf numFmtId="0" fontId="2" fillId="2" borderId="11" xfId="1" applyFill="1" applyBorder="1"/>
    <xf numFmtId="0" fontId="2" fillId="2" borderId="12" xfId="1" applyFill="1" applyBorder="1"/>
    <xf numFmtId="0" fontId="2" fillId="2" borderId="13" xfId="1" applyFill="1" applyBorder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2" fillId="2" borderId="17" xfId="1" applyFill="1" applyBorder="1"/>
    <xf numFmtId="0" fontId="2" fillId="2" borderId="18" xfId="1" applyFill="1" applyBorder="1"/>
    <xf numFmtId="0" fontId="2" fillId="2" borderId="6" xfId="1" applyFill="1" applyBorder="1"/>
    <xf numFmtId="0" fontId="2" fillId="2" borderId="19" xfId="1" applyFill="1" applyBorder="1"/>
    <xf numFmtId="0" fontId="3" fillId="2" borderId="2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/>
    <xf numFmtId="0" fontId="2" fillId="2" borderId="21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2" borderId="14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1" fillId="2" borderId="22" xfId="1" applyFont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2" fillId="2" borderId="18" xfId="1" applyFill="1" applyBorder="1" applyAlignment="1">
      <alignment horizontal="center"/>
    </xf>
    <xf numFmtId="3" fontId="2" fillId="2" borderId="23" xfId="1" applyNumberFormat="1" applyFill="1" applyBorder="1"/>
    <xf numFmtId="0" fontId="2" fillId="2" borderId="24" xfId="1" applyFill="1" applyBorder="1"/>
    <xf numFmtId="0" fontId="2" fillId="2" borderId="23" xfId="1" applyFill="1" applyBorder="1"/>
    <xf numFmtId="0" fontId="0" fillId="3" borderId="0" xfId="0" applyFill="1"/>
    <xf numFmtId="0" fontId="0" fillId="0" borderId="0" xfId="0" applyFill="1"/>
    <xf numFmtId="0" fontId="4" fillId="0" borderId="0" xfId="2"/>
    <xf numFmtId="0" fontId="5" fillId="0" borderId="0" xfId="0" applyFont="1"/>
    <xf numFmtId="0" fontId="5" fillId="0" borderId="0" xfId="0" applyFont="1" applyFill="1"/>
    <xf numFmtId="0" fontId="5" fillId="4" borderId="0" xfId="0" applyFont="1" applyFill="1"/>
    <xf numFmtId="0" fontId="8" fillId="4" borderId="0" xfId="3" applyFont="1" applyFill="1"/>
    <xf numFmtId="0" fontId="10" fillId="4" borderId="14" xfId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/>
    <xf numFmtId="3" fontId="9" fillId="4" borderId="14" xfId="0" applyNumberFormat="1" applyFont="1" applyFill="1" applyBorder="1" applyProtection="1">
      <protection locked="0"/>
    </xf>
    <xf numFmtId="164" fontId="11" fillId="4" borderId="14" xfId="0" applyNumberFormat="1" applyFont="1" applyFill="1" applyBorder="1"/>
    <xf numFmtId="0" fontId="5" fillId="5" borderId="0" xfId="0" applyFont="1" applyFill="1"/>
    <xf numFmtId="0" fontId="11" fillId="5" borderId="0" xfId="0" applyFont="1" applyFill="1" applyAlignment="1">
      <alignment horizontal="right"/>
    </xf>
    <xf numFmtId="0" fontId="6" fillId="5" borderId="0" xfId="2" applyFont="1" applyFill="1"/>
    <xf numFmtId="0" fontId="5" fillId="5" borderId="0" xfId="0" applyFont="1" applyFill="1" applyAlignment="1">
      <alignment horizontal="right"/>
    </xf>
    <xf numFmtId="164" fontId="12" fillId="4" borderId="25" xfId="0" applyNumberFormat="1" applyFont="1" applyFill="1" applyBorder="1"/>
    <xf numFmtId="0" fontId="5" fillId="6" borderId="0" xfId="0" applyFont="1" applyFill="1"/>
    <xf numFmtId="0" fontId="7" fillId="6" borderId="0" xfId="3" applyFill="1"/>
    <xf numFmtId="0" fontId="13" fillId="6" borderId="0" xfId="3" applyFont="1" applyFill="1"/>
    <xf numFmtId="0" fontId="18" fillId="6" borderId="0" xfId="5" applyNumberFormat="1" applyFont="1" applyFill="1" applyAlignment="1" applyProtection="1">
      <alignment horizontal="left"/>
    </xf>
    <xf numFmtId="0" fontId="16" fillId="6" borderId="0" xfId="3" applyFont="1" applyFill="1" applyAlignment="1">
      <alignment horizontal="right"/>
    </xf>
    <xf numFmtId="14" fontId="13" fillId="6" borderId="0" xfId="4" applyNumberFormat="1" applyFill="1" applyAlignment="1">
      <alignment horizontal="right"/>
    </xf>
    <xf numFmtId="0" fontId="19" fillId="5" borderId="0" xfId="0" applyFont="1" applyFill="1"/>
    <xf numFmtId="0" fontId="19" fillId="5" borderId="0" xfId="0" applyFont="1" applyFill="1" applyAlignment="1">
      <alignment horizontal="right"/>
    </xf>
    <xf numFmtId="3" fontId="19" fillId="5" borderId="14" xfId="0" applyNumberFormat="1" applyFont="1" applyFill="1" applyBorder="1"/>
    <xf numFmtId="0" fontId="8" fillId="6" borderId="0" xfId="0" applyFont="1" applyFill="1"/>
    <xf numFmtId="0" fontId="20" fillId="5" borderId="0" xfId="0" applyFont="1" applyFill="1" applyAlignment="1">
      <alignment horizontal="right"/>
    </xf>
    <xf numFmtId="0" fontId="20" fillId="5" borderId="0" xfId="0" applyFont="1" applyFill="1"/>
    <xf numFmtId="0" fontId="21" fillId="5" borderId="0" xfId="2" applyFont="1" applyFill="1"/>
    <xf numFmtId="0" fontId="23" fillId="5" borderId="0" xfId="0" applyFont="1" applyFill="1" applyAlignment="1">
      <alignment horizontal="right"/>
    </xf>
    <xf numFmtId="0" fontId="22" fillId="5" borderId="0" xfId="0" applyFont="1" applyFill="1"/>
    <xf numFmtId="0" fontId="9" fillId="4" borderId="14" xfId="0" applyFont="1" applyFill="1" applyBorder="1" applyProtection="1">
      <protection locked="0"/>
    </xf>
    <xf numFmtId="0" fontId="13" fillId="7" borderId="0" xfId="3" applyFont="1" applyFill="1"/>
    <xf numFmtId="0" fontId="5" fillId="7" borderId="0" xfId="0" applyFont="1" applyFill="1"/>
    <xf numFmtId="0" fontId="13" fillId="7" borderId="0" xfId="3" applyFont="1" applyFill="1" applyProtection="1">
      <protection locked="0"/>
    </xf>
    <xf numFmtId="0" fontId="14" fillId="7" borderId="0" xfId="2" applyFont="1" applyFill="1" applyAlignment="1" applyProtection="1">
      <alignment horizontal="left"/>
      <protection locked="0"/>
    </xf>
    <xf numFmtId="0" fontId="13" fillId="7" borderId="0" xfId="3" applyFont="1" applyFill="1" applyAlignment="1" applyProtection="1">
      <alignment horizontal="left"/>
      <protection locked="0"/>
    </xf>
    <xf numFmtId="0" fontId="18" fillId="7" borderId="0" xfId="5" applyNumberFormat="1" applyFont="1" applyFill="1" applyAlignment="1" applyProtection="1">
      <alignment horizontal="left"/>
    </xf>
    <xf numFmtId="0" fontId="7" fillId="7" borderId="0" xfId="3" applyFill="1"/>
    <xf numFmtId="0" fontId="13" fillId="7" borderId="0" xfId="3" applyFont="1" applyFill="1" applyAlignment="1">
      <alignment horizontal="left"/>
    </xf>
    <xf numFmtId="0" fontId="13" fillId="7" borderId="0" xfId="4" applyFill="1" applyAlignment="1">
      <alignment horizontal="right"/>
    </xf>
    <xf numFmtId="0" fontId="16" fillId="7" borderId="0" xfId="3" applyFont="1" applyFill="1" applyAlignment="1">
      <alignment horizontal="right"/>
    </xf>
    <xf numFmtId="0" fontId="7" fillId="7" borderId="0" xfId="3" applyFill="1" applyAlignment="1">
      <alignment horizontal="right"/>
    </xf>
    <xf numFmtId="0" fontId="14" fillId="7" borderId="0" xfId="2" applyFont="1" applyFill="1"/>
    <xf numFmtId="0" fontId="5" fillId="8" borderId="0" xfId="0" applyFont="1" applyFill="1"/>
    <xf numFmtId="43" fontId="9" fillId="4" borderId="14" xfId="6" applyFont="1" applyFill="1" applyBorder="1" applyProtection="1">
      <protection locked="0"/>
    </xf>
  </cellXfs>
  <cellStyles count="7">
    <cellStyle name="Čárka" xfId="6" builtinId="3"/>
    <cellStyle name="Hypertextový odkaz" xfId="2" builtinId="8"/>
    <cellStyle name="Hypertextový odkaz 2" xfId="5" xr:uid="{39E7AB81-0778-4DF8-953D-1C6FEA90EEA6}"/>
    <cellStyle name="Normální" xfId="0" builtinId="0"/>
    <cellStyle name="Normální 2" xfId="3" xr:uid="{E3A408BD-282F-4F59-88A6-7BB5C014CB2A}"/>
    <cellStyle name="normální 2_sestava OSA" xfId="4" xr:uid="{04B6961B-EEF8-4D16-8D98-40D5F48AD892}"/>
    <cellStyle name="Звичайний 2" xfId="1" xr:uid="{0A5E3DE8-825F-48DB-8889-B6727EEAD4D1}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571501</xdr:colOff>
      <xdr:row>47</xdr:row>
      <xdr:rowOff>31751</xdr:rowOff>
    </xdr:from>
    <xdr:to>
      <xdr:col>11</xdr:col>
      <xdr:colOff>409281</xdr:colOff>
      <xdr:row>50</xdr:row>
      <xdr:rowOff>158751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C67B38E-DFBE-4708-8406-8D26C3F18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1" y="11296651"/>
          <a:ext cx="120690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tu.cz/mereni-rychlosti-prenosu-dat" TargetMode="External"/><Relationship Id="rId3" Type="http://schemas.openxmlformats.org/officeDocument/2006/relationships/hyperlink" Target="https://cs.wikipedia.org/wiki/Referen%C4%8Dn%C3%AD_model_ISO/OSI" TargetMode="External"/><Relationship Id="rId7" Type="http://schemas.openxmlformats.org/officeDocument/2006/relationships/hyperlink" Target="https://www.profiber.eu/cz/aplikace/" TargetMode="External"/><Relationship Id="rId2" Type="http://schemas.openxmlformats.org/officeDocument/2006/relationships/hyperlink" Target="https://en.wikipedia.org/wiki/Throughput" TargetMode="External"/><Relationship Id="rId1" Type="http://schemas.openxmlformats.org/officeDocument/2006/relationships/hyperlink" Target="https://support.excentis.com/index.php?/Knowledgebase/Article/View/29" TargetMode="External"/><Relationship Id="rId6" Type="http://schemas.openxmlformats.org/officeDocument/2006/relationships/hyperlink" Target="https://www.profiber.eu/cz/sluzby-a-servis/verejne-kurzy/" TargetMode="External"/><Relationship Id="rId5" Type="http://schemas.openxmlformats.org/officeDocument/2006/relationships/hyperlink" Target="https://www.ctu.cz/sites/default/files/obsah/stranky/36864/soubory/vos1final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cs.wikipedia.org/wiki/Maximum_transmission_uni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excentis.com/index.php?/Knowledgebase/Article/View/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zoomScaleNormal="100" zoomScaleSheetLayoutView="85" zoomScalePageLayoutView="51" workbookViewId="0">
      <selection activeCell="E9" sqref="E9"/>
    </sheetView>
  </sheetViews>
  <sheetFormatPr defaultColWidth="8.81640625" defaultRowHeight="14" x14ac:dyDescent="0.3"/>
  <cols>
    <col min="1" max="1" width="6" style="46" customWidth="1"/>
    <col min="2" max="2" width="9.453125" style="46" customWidth="1"/>
    <col min="3" max="3" width="10" style="46" customWidth="1"/>
    <col min="4" max="4" width="7.54296875" style="46" customWidth="1"/>
    <col min="5" max="5" width="16.1796875" style="46" customWidth="1"/>
    <col min="6" max="6" width="6.81640625" style="46" customWidth="1"/>
    <col min="7" max="9" width="8.81640625" style="46"/>
    <col min="10" max="10" width="10.81640625" style="46" customWidth="1"/>
    <col min="11" max="12" width="8.81640625" style="46"/>
    <col min="13" max="13" width="4.26953125" style="46" customWidth="1"/>
    <col min="14" max="14" width="10.08984375" style="46" customWidth="1"/>
    <col min="15" max="15" width="8.81640625" style="46"/>
    <col min="16" max="16" width="10.81640625" style="46" customWidth="1"/>
    <col min="17" max="16384" width="8.81640625" style="46"/>
  </cols>
  <sheetData>
    <row r="1" spans="1:18" ht="15" x14ac:dyDescent="0.3">
      <c r="A1" s="6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8" x14ac:dyDescent="0.3">
      <c r="A2" s="59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x14ac:dyDescent="0.3">
      <c r="A3" s="59"/>
      <c r="B3" s="59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7"/>
      <c r="P4" s="47"/>
      <c r="Q4" s="47"/>
      <c r="R4" s="47"/>
    </row>
    <row r="5" spans="1:18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7"/>
      <c r="P5" s="47"/>
      <c r="Q5" s="47"/>
      <c r="R5" s="47"/>
    </row>
    <row r="6" spans="1:18" ht="15" x14ac:dyDescent="0.3">
      <c r="A6" s="49" t="s">
        <v>3</v>
      </c>
      <c r="B6" s="48"/>
      <c r="C6" s="48"/>
      <c r="D6" s="48"/>
      <c r="E6" s="48"/>
      <c r="F6" s="48"/>
      <c r="G6" s="48"/>
      <c r="H6" s="48"/>
      <c r="I6" s="48"/>
      <c r="J6" s="54"/>
      <c r="K6" s="54"/>
      <c r="L6" s="54"/>
      <c r="M6" s="54"/>
      <c r="N6" s="54"/>
      <c r="O6" s="47"/>
      <c r="P6" s="47"/>
      <c r="Q6" s="47"/>
      <c r="R6" s="47"/>
    </row>
    <row r="7" spans="1:18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7"/>
      <c r="P7" s="47"/>
      <c r="Q7" s="47"/>
      <c r="R7" s="47"/>
    </row>
    <row r="8" spans="1:18" x14ac:dyDescent="0.3">
      <c r="A8" s="54"/>
      <c r="B8" s="54"/>
      <c r="C8" s="54"/>
      <c r="D8" s="54"/>
      <c r="E8" s="51" t="s">
        <v>4</v>
      </c>
      <c r="F8" s="54"/>
      <c r="G8" s="54"/>
      <c r="H8" s="54"/>
      <c r="I8" s="54"/>
      <c r="J8" s="54"/>
      <c r="K8" s="54"/>
      <c r="L8" s="54"/>
      <c r="M8" s="54"/>
      <c r="N8" s="54"/>
      <c r="O8" s="47"/>
      <c r="P8" s="47"/>
      <c r="Q8" s="47"/>
      <c r="R8" s="47"/>
    </row>
    <row r="9" spans="1:18" x14ac:dyDescent="0.3">
      <c r="A9" s="54"/>
      <c r="B9" s="54"/>
      <c r="C9" s="54"/>
      <c r="D9" s="55" t="s">
        <v>5</v>
      </c>
      <c r="E9" s="88">
        <v>100</v>
      </c>
      <c r="F9" s="54" t="s">
        <v>6</v>
      </c>
      <c r="G9" s="65" t="s">
        <v>7</v>
      </c>
      <c r="H9" s="54"/>
      <c r="I9" s="54"/>
      <c r="J9" s="54"/>
      <c r="K9" s="71" t="s">
        <v>8</v>
      </c>
      <c r="L9" s="54"/>
      <c r="M9" s="54"/>
      <c r="N9" s="54"/>
      <c r="O9" s="47"/>
      <c r="P9" s="47"/>
      <c r="Q9" s="47"/>
      <c r="R9" s="47"/>
    </row>
    <row r="10" spans="1:18" x14ac:dyDescent="0.3">
      <c r="A10" s="54"/>
      <c r="B10" s="54"/>
      <c r="C10" s="54"/>
      <c r="D10" s="55" t="s">
        <v>9</v>
      </c>
      <c r="E10" s="50">
        <v>1</v>
      </c>
      <c r="F10" s="54" t="s">
        <v>10</v>
      </c>
      <c r="G10" s="65" t="s">
        <v>11</v>
      </c>
      <c r="H10" s="54"/>
      <c r="I10" s="54"/>
      <c r="J10" s="54"/>
      <c r="K10" s="71" t="s">
        <v>8</v>
      </c>
      <c r="L10" s="54"/>
      <c r="M10" s="54"/>
      <c r="N10" s="54"/>
      <c r="O10" s="47"/>
      <c r="P10" s="47"/>
      <c r="Q10" s="47"/>
      <c r="R10" s="47"/>
    </row>
    <row r="11" spans="1:18" x14ac:dyDescent="0.3">
      <c r="A11" s="54"/>
      <c r="B11" s="54"/>
      <c r="C11" s="54"/>
      <c r="D11" s="54"/>
      <c r="E11" s="51"/>
      <c r="F11" s="54"/>
      <c r="G11" s="54"/>
      <c r="H11" s="54"/>
      <c r="I11" s="54"/>
      <c r="J11" s="54"/>
      <c r="K11" s="54"/>
      <c r="L11" s="54"/>
      <c r="M11" s="54"/>
      <c r="N11" s="54"/>
      <c r="O11" s="47"/>
      <c r="P11" s="47"/>
      <c r="Q11" s="47"/>
      <c r="R11" s="47"/>
    </row>
    <row r="12" spans="1:18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47"/>
      <c r="P12" s="47"/>
      <c r="Q12" s="47"/>
      <c r="R12" s="47"/>
    </row>
    <row r="13" spans="1:18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47"/>
      <c r="P13" s="47"/>
      <c r="Q13" s="47"/>
      <c r="R13" s="47"/>
    </row>
    <row r="14" spans="1:18" ht="15" x14ac:dyDescent="0.3">
      <c r="A14" s="49" t="s">
        <v>12</v>
      </c>
      <c r="B14" s="48"/>
      <c r="C14" s="48"/>
      <c r="D14" s="48"/>
      <c r="E14" s="48"/>
      <c r="F14" s="48"/>
      <c r="G14" s="48"/>
      <c r="H14" s="48"/>
      <c r="I14" s="48"/>
      <c r="J14" s="54"/>
      <c r="K14" s="54"/>
      <c r="L14" s="54"/>
      <c r="M14" s="54"/>
      <c r="N14" s="54"/>
      <c r="O14" s="47"/>
      <c r="P14" s="47"/>
      <c r="Q14" s="47"/>
      <c r="R14" s="47"/>
    </row>
    <row r="15" spans="1:18" x14ac:dyDescent="0.3">
      <c r="A15" s="54"/>
      <c r="B15" s="54"/>
      <c r="C15" s="54"/>
      <c r="D15" s="54"/>
      <c r="E15" s="51" t="s">
        <v>4</v>
      </c>
      <c r="F15" s="54"/>
      <c r="G15" s="54"/>
      <c r="H15" s="54"/>
      <c r="I15" s="54"/>
      <c r="J15" s="54"/>
      <c r="K15" s="54"/>
      <c r="L15" s="54"/>
      <c r="M15" s="54"/>
      <c r="N15" s="54"/>
    </row>
    <row r="16" spans="1:18" x14ac:dyDescent="0.3">
      <c r="A16" s="54"/>
      <c r="B16" s="54"/>
      <c r="C16" s="54"/>
      <c r="D16" s="57" t="s">
        <v>13</v>
      </c>
      <c r="E16" s="52">
        <v>1500</v>
      </c>
      <c r="F16" s="54" t="s">
        <v>14</v>
      </c>
      <c r="G16" s="65" t="s">
        <v>15</v>
      </c>
      <c r="H16" s="54"/>
      <c r="I16" s="54"/>
      <c r="J16" s="54"/>
      <c r="K16" s="71" t="s">
        <v>8</v>
      </c>
      <c r="L16" s="54"/>
      <c r="M16" s="54"/>
      <c r="N16" s="54"/>
    </row>
    <row r="17" spans="1:14" x14ac:dyDescent="0.3">
      <c r="A17" s="54"/>
      <c r="B17" s="54"/>
      <c r="C17" s="54"/>
      <c r="D17" s="54"/>
      <c r="E17" s="65" t="s">
        <v>16</v>
      </c>
      <c r="F17" s="54"/>
      <c r="G17" s="54"/>
      <c r="H17" s="54"/>
      <c r="I17" s="54"/>
      <c r="J17" s="54"/>
      <c r="K17" s="54"/>
      <c r="L17" s="54"/>
      <c r="M17" s="54"/>
      <c r="N17" s="54"/>
    </row>
    <row r="18" spans="1:14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x14ac:dyDescent="0.3">
      <c r="A19" s="65"/>
      <c r="B19" s="65"/>
      <c r="C19" s="65"/>
      <c r="D19" s="66" t="s">
        <v>17</v>
      </c>
      <c r="E19" s="67">
        <f>Vypocty!B13</f>
        <v>1518</v>
      </c>
      <c r="F19" s="65" t="s">
        <v>14</v>
      </c>
      <c r="G19" s="65" t="s">
        <v>18</v>
      </c>
      <c r="H19" s="65"/>
      <c r="I19" s="65"/>
      <c r="J19" s="65"/>
      <c r="K19" s="54"/>
      <c r="L19" s="54"/>
      <c r="M19" s="54"/>
      <c r="N19" s="54"/>
    </row>
    <row r="20" spans="1:14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x14ac:dyDescent="0.3">
      <c r="A21" s="54"/>
      <c r="B21" s="54"/>
      <c r="C21" s="54"/>
      <c r="D21" s="72" t="s">
        <v>19</v>
      </c>
      <c r="E21" s="74">
        <v>20</v>
      </c>
      <c r="F21" s="54" t="s">
        <v>14</v>
      </c>
      <c r="G21" s="65" t="s">
        <v>20</v>
      </c>
      <c r="H21" s="73"/>
      <c r="I21" s="73"/>
      <c r="J21" s="65" t="s">
        <v>21</v>
      </c>
      <c r="K21" s="73"/>
      <c r="L21" s="73"/>
      <c r="M21" s="54"/>
      <c r="N21" s="71" t="s">
        <v>8</v>
      </c>
    </row>
    <row r="22" spans="1:14" x14ac:dyDescent="0.3">
      <c r="A22" s="54"/>
      <c r="B22" s="54"/>
      <c r="C22" s="54"/>
      <c r="D22" s="54"/>
      <c r="E22" s="54"/>
      <c r="F22" s="54"/>
      <c r="G22" s="65" t="s">
        <v>22</v>
      </c>
      <c r="H22" s="73"/>
      <c r="I22" s="73"/>
      <c r="J22" s="73"/>
      <c r="K22" s="73"/>
      <c r="L22" s="73"/>
      <c r="M22" s="54"/>
      <c r="N22" s="54"/>
    </row>
    <row r="23" spans="1:14" ht="14.5" thickBot="1" x14ac:dyDescent="0.3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5" thickBot="1" x14ac:dyDescent="0.35">
      <c r="A24" s="49" t="s">
        <v>23</v>
      </c>
      <c r="B24" s="48"/>
      <c r="C24" s="48"/>
      <c r="D24" s="55" t="s">
        <v>24</v>
      </c>
      <c r="E24" s="58">
        <f>Vypocty!P16</f>
        <v>94.928478543563074</v>
      </c>
      <c r="F24" s="54" t="s">
        <v>6</v>
      </c>
      <c r="G24" s="54" t="s">
        <v>25</v>
      </c>
      <c r="H24" s="54"/>
      <c r="I24" s="54"/>
      <c r="J24" s="54"/>
      <c r="K24" s="54"/>
      <c r="L24" s="54"/>
      <c r="M24" s="54"/>
      <c r="N24" s="54"/>
    </row>
    <row r="25" spans="1:14" x14ac:dyDescent="0.3">
      <c r="A25" s="54"/>
      <c r="B25" s="54"/>
      <c r="C25" s="54"/>
      <c r="D25" s="54"/>
      <c r="E25" s="54"/>
      <c r="F25" s="54"/>
      <c r="G25" s="54" t="s">
        <v>26</v>
      </c>
      <c r="H25" s="56" t="s">
        <v>27</v>
      </c>
      <c r="I25" s="54"/>
      <c r="J25" s="54"/>
      <c r="K25" s="54"/>
      <c r="L25" s="54"/>
      <c r="M25" s="54"/>
      <c r="N25" s="54"/>
    </row>
    <row r="26" spans="1:14" x14ac:dyDescent="0.3">
      <c r="A26" s="54"/>
      <c r="B26" s="54"/>
      <c r="C26" s="54"/>
      <c r="D26" s="55" t="s">
        <v>28</v>
      </c>
      <c r="E26" s="53">
        <f>Vypocty!P15</f>
        <v>96.228868660598195</v>
      </c>
      <c r="F26" s="54" t="s">
        <v>6</v>
      </c>
      <c r="G26" s="54"/>
      <c r="H26" s="54"/>
      <c r="I26" s="54"/>
      <c r="J26" s="54"/>
      <c r="K26" s="54"/>
      <c r="L26" s="54"/>
      <c r="M26" s="54"/>
      <c r="N26" s="54"/>
    </row>
    <row r="27" spans="1:14" x14ac:dyDescent="0.3">
      <c r="A27" s="54"/>
      <c r="B27" s="54"/>
      <c r="C27" s="54"/>
      <c r="D27" s="55" t="s">
        <v>29</v>
      </c>
      <c r="E27" s="53">
        <f>Vypocty!P14</f>
        <v>97.529258777633288</v>
      </c>
      <c r="F27" s="54" t="s">
        <v>6</v>
      </c>
      <c r="G27" s="54"/>
      <c r="H27" s="54"/>
      <c r="I27" s="54"/>
      <c r="J27" s="54"/>
      <c r="K27" s="54"/>
      <c r="L27" s="54"/>
      <c r="M27" s="54"/>
      <c r="N27" s="54"/>
    </row>
    <row r="28" spans="1:14" x14ac:dyDescent="0.3">
      <c r="A28" s="54"/>
      <c r="B28" s="54"/>
      <c r="C28" s="54"/>
      <c r="D28" s="55" t="s">
        <v>30</v>
      </c>
      <c r="E28" s="53">
        <f>Vypocty!P13</f>
        <v>100</v>
      </c>
      <c r="F28" s="54" t="s">
        <v>6</v>
      </c>
      <c r="G28" s="54"/>
      <c r="H28" s="54"/>
      <c r="I28" s="54"/>
      <c r="J28" s="54"/>
      <c r="K28" s="54"/>
      <c r="L28" s="54"/>
      <c r="M28" s="54"/>
      <c r="N28" s="54"/>
    </row>
    <row r="29" spans="1:14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3">
      <c r="A30" s="69" t="s">
        <v>31</v>
      </c>
      <c r="B30" s="70" t="str">
        <f>"uvedené rychlosti počítají s hodnotou TCP záhlaví = "&amp;E21&amp;" B (z přípustného rozsahu 20 až 60 B)"</f>
        <v>uvedené rychlosti počítají s hodnotou TCP záhlaví = 20 B (z přípustného rozsahu 20 až 60 B)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3">
      <c r="A31" s="54"/>
      <c r="B31" s="70" t="s">
        <v>32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71" t="s">
        <v>33</v>
      </c>
    </row>
    <row r="32" spans="1:14" x14ac:dyDescent="0.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x14ac:dyDescent="0.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x14ac:dyDescent="0.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x14ac:dyDescent="0.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x14ac:dyDescent="0.3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x14ac:dyDescent="0.3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x14ac:dyDescent="0.3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3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3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3">
      <c r="A47" s="59"/>
      <c r="B47" s="75" t="s">
        <v>34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59"/>
      <c r="N47" s="59"/>
    </row>
    <row r="48" spans="1:14" x14ac:dyDescent="0.3">
      <c r="A48" s="59"/>
      <c r="B48" s="77"/>
      <c r="C48" s="78" t="s">
        <v>35</v>
      </c>
      <c r="D48" s="79"/>
      <c r="E48" s="76"/>
      <c r="F48" s="76"/>
      <c r="G48" s="76"/>
      <c r="H48" s="76"/>
      <c r="I48" s="76"/>
      <c r="J48" s="76"/>
      <c r="K48" s="76"/>
      <c r="L48" s="76"/>
      <c r="M48" s="59"/>
      <c r="N48" s="59"/>
    </row>
    <row r="49" spans="1:14" x14ac:dyDescent="0.3">
      <c r="A49" s="59"/>
      <c r="B49" s="76"/>
      <c r="C49" s="75" t="s">
        <v>36</v>
      </c>
      <c r="D49" s="80"/>
      <c r="E49" s="81"/>
      <c r="F49" s="76"/>
      <c r="I49" s="76"/>
      <c r="J49" s="76"/>
      <c r="K49" s="76"/>
      <c r="L49" s="76"/>
      <c r="M49" s="59"/>
      <c r="N49" s="59"/>
    </row>
    <row r="50" spans="1:14" x14ac:dyDescent="0.3">
      <c r="A50" s="59"/>
      <c r="B50" s="76"/>
      <c r="C50" s="81"/>
      <c r="D50" s="82"/>
      <c r="E50" s="83"/>
      <c r="F50" s="75"/>
      <c r="G50" s="84"/>
      <c r="H50" s="76"/>
      <c r="I50" s="76"/>
      <c r="J50" s="76"/>
      <c r="K50" s="76"/>
      <c r="L50" s="76"/>
      <c r="M50" s="59"/>
      <c r="N50" s="59"/>
    </row>
    <row r="51" spans="1:14" x14ac:dyDescent="0.3">
      <c r="A51" s="59"/>
      <c r="B51" s="76"/>
      <c r="C51" s="85" t="s">
        <v>37</v>
      </c>
      <c r="D51" s="86" t="s">
        <v>38</v>
      </c>
      <c r="E51" s="76"/>
      <c r="F51" s="76"/>
      <c r="G51" s="76"/>
      <c r="H51" s="75" t="s">
        <v>39</v>
      </c>
      <c r="I51" s="76"/>
      <c r="J51" s="76"/>
      <c r="K51" s="76"/>
      <c r="L51" s="76"/>
      <c r="M51" s="59"/>
      <c r="N51" s="59"/>
    </row>
    <row r="52" spans="1:14" x14ac:dyDescent="0.3">
      <c r="A52" s="5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59"/>
      <c r="N52" s="59"/>
    </row>
    <row r="53" spans="1:14" x14ac:dyDescent="0.3">
      <c r="A53" s="59"/>
      <c r="B53" s="60"/>
      <c r="C53" s="62"/>
      <c r="D53" s="64"/>
      <c r="E53" s="61"/>
      <c r="F53" s="63"/>
      <c r="G53" s="59"/>
      <c r="H53" s="59"/>
      <c r="I53" s="59"/>
      <c r="J53" s="59"/>
      <c r="K53" s="59"/>
      <c r="L53" s="59"/>
      <c r="M53" s="59"/>
      <c r="N53" s="59"/>
    </row>
    <row r="54" spans="1:14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3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</sheetData>
  <sheetProtection algorithmName="SHA-512" hashValue="eg9Wa0Wy6vcO1Sn6gdIdBJcV42I6GnAH+HN8+SUm5TM+4PCrI6useQNx/m32uX25WmJ71mA/CSdzUjwxRN3x0g==" saltValue="bco1tjkEeti2PbsqBBSs7g==" spinCount="100000" sheet="1" objects="1" scenarios="1"/>
  <dataValidations count="1">
    <dataValidation type="list" allowBlank="1" showInputMessage="1" showErrorMessage="1" sqref="E10" xr:uid="{13242C23-2E3C-4F44-8EB9-9952F9A14368}">
      <formula1>"1,2,3,4"</formula1>
    </dataValidation>
  </dataValidations>
  <hyperlinks>
    <hyperlink ref="N31" r:id="rId1" xr:uid="{E7FD7C8B-64F2-40F6-AA9D-BC7E7B210555}"/>
    <hyperlink ref="K9" r:id="rId2" xr:uid="{C55AB908-0F0E-4593-B7E1-FBC2BB87CA56}"/>
    <hyperlink ref="K10" r:id="rId3" xr:uid="{F14DDE51-18F1-4A22-9344-F2934AFD8B11}"/>
    <hyperlink ref="K16" r:id="rId4" xr:uid="{058AA98E-6320-4030-8AF1-6884875B18B9}"/>
    <hyperlink ref="H25" r:id="rId5" xr:uid="{0F718085-D125-4493-B0E7-165B5C51DC16}"/>
    <hyperlink ref="C48" r:id="rId6" display="AKADEMIE VLÁKNOVÉ OPTIKY A OPTICKÝCH KOMUNIKACÍ®" xr:uid="{DB9EB0B4-4052-455A-86DF-ED41914B5D1A}"/>
    <hyperlink ref="D51" r:id="rId7" xr:uid="{FFB4DF70-CD88-4798-B32A-3A1DBCA7BCC0}"/>
    <hyperlink ref="N21" r:id="rId8" xr:uid="{F0F5C91C-D0EF-4A36-8AC1-991C3CD70A68}"/>
  </hyperlinks>
  <pageMargins left="0.7" right="0.65252525252525251" top="0.75" bottom="0.75" header="0.3" footer="0.3"/>
  <pageSetup paperSize="9" scale="68" orientation="portrait" r:id="rId9"/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426249C-08A1-41AB-9A35-0F4D627D5F2B}">
            <xm:f>Vypocty!$E$109&lt;Vypocty!$B$109</xm:f>
            <x14:dxf>
              <font>
                <strike/>
                <color rgb="FFFF0000"/>
              </font>
            </x14:dxf>
          </x14:cfRule>
          <x14:cfRule type="expression" priority="2" id="{7CE6F4C1-B584-44BB-B04F-98249134EF51}">
            <xm:f>Vypocty!$D$109&gt;Vypocty!$B$109</xm:f>
            <x14:dxf>
              <font>
                <strike/>
                <color rgb="FFFF0000"/>
              </font>
            </x14:dxf>
          </x14:cfRule>
          <xm:sqref>E21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D6BA-D981-420C-9FC3-C001FB6812CC}">
  <dimension ref="A1:P109"/>
  <sheetViews>
    <sheetView zoomScaleNormal="100" workbookViewId="0">
      <selection activeCell="L10" sqref="L10"/>
    </sheetView>
  </sheetViews>
  <sheetFormatPr defaultRowHeight="14.5" x14ac:dyDescent="0.35"/>
  <cols>
    <col min="1" max="1" width="30.81640625" customWidth="1"/>
    <col min="2" max="2" width="6.81640625" bestFit="1" customWidth="1"/>
    <col min="3" max="3" width="9.81640625" bestFit="1" customWidth="1"/>
    <col min="4" max="4" width="8.54296875" bestFit="1" customWidth="1"/>
    <col min="5" max="8" width="15.453125" bestFit="1" customWidth="1"/>
    <col min="9" max="10" width="12" bestFit="1" customWidth="1"/>
    <col min="11" max="11" width="15.453125" bestFit="1" customWidth="1"/>
    <col min="12" max="12" width="8.81640625" bestFit="1" customWidth="1"/>
    <col min="13" max="13" width="10.81640625" bestFit="1" customWidth="1"/>
    <col min="15" max="15" width="11.54296875" customWidth="1"/>
  </cols>
  <sheetData>
    <row r="1" spans="1:16" ht="15" thickBot="1" x14ac:dyDescent="0.4">
      <c r="A1" s="1"/>
      <c r="B1" s="2" t="s">
        <v>40</v>
      </c>
      <c r="C1" s="2" t="s">
        <v>41</v>
      </c>
      <c r="D1" s="3" t="s">
        <v>42</v>
      </c>
      <c r="E1" s="4" t="s">
        <v>43</v>
      </c>
      <c r="F1" s="5" t="s">
        <v>44</v>
      </c>
      <c r="G1" s="5" t="s">
        <v>45</v>
      </c>
      <c r="H1" s="6" t="s">
        <v>46</v>
      </c>
      <c r="I1" s="7" t="s">
        <v>47</v>
      </c>
      <c r="J1" s="5" t="s">
        <v>48</v>
      </c>
      <c r="K1" s="5" t="s">
        <v>49</v>
      </c>
      <c r="L1" s="6" t="s">
        <v>50</v>
      </c>
    </row>
    <row r="2" spans="1:16" ht="15" thickBot="1" x14ac:dyDescent="0.4">
      <c r="A2" s="8" t="s">
        <v>5</v>
      </c>
      <c r="B2" s="9">
        <f>List1!E9*1000</f>
        <v>100000</v>
      </c>
      <c r="C2" s="10">
        <f>B2*1000</f>
        <v>100000000</v>
      </c>
      <c r="D2" s="11">
        <f>List1!E10</f>
        <v>1</v>
      </c>
      <c r="E2" s="12">
        <f>($C$2*($B$99+$B$100+$B$101+$B$102+$B$103+$B$104+$B$105+$B$106+$B$107)*8)/($B$98*8)</f>
        <v>102533333.33333333</v>
      </c>
      <c r="F2" s="13">
        <f>($C$2*($B$99+$B$100+$B$101+$B$102+$B$103+$B$104+$B$105+$B$106+$B$107)*8)/(($B$98-$B$108)*8)</f>
        <v>103918918.91891892</v>
      </c>
      <c r="G2" s="13">
        <f>($C$2*($B$99+$B$100+$B$101+$B$102+$B$103+$B$104+$B$105+$B$106+$B$107)*8)/(($B$98-$B$108-$B$109)*8)</f>
        <v>105342465.75342466</v>
      </c>
      <c r="H2" s="14">
        <f>IF(D2=1,C2,0)+IF(D2=2,E2,0)+IF(D2=3,F2,0)+IF(D2=4,G2,0)</f>
        <v>100000000</v>
      </c>
      <c r="I2" s="15">
        <f>$C$2-(8*$B$109)</f>
        <v>99999840</v>
      </c>
      <c r="J2" s="13">
        <f>$C$2-(8*$B$108)-(8*$B$109)</f>
        <v>99999680</v>
      </c>
      <c r="K2" s="13">
        <f>($C$2/(($B$99+$B$100+$B$101+$B$102+$B$103+$B$104+$B$105+$B$106+$B$107)*8))*($B$98-$B$108-$B$109)*8</f>
        <v>94928478.543563068</v>
      </c>
      <c r="L2" s="14">
        <f>IF(D2=1,K2,0)+IF(D2=2,J2,0)+IF(D2=3,I2,0)+IF(D2=4,C2,0)</f>
        <v>94928478.543563068</v>
      </c>
    </row>
    <row r="3" spans="1:16" ht="15" thickBot="1" x14ac:dyDescent="0.4">
      <c r="A3" s="16"/>
      <c r="B3" s="9"/>
      <c r="C3" s="10"/>
      <c r="D3" s="11"/>
      <c r="E3" s="17"/>
      <c r="F3" s="18"/>
      <c r="G3" s="18"/>
      <c r="H3" s="19"/>
      <c r="I3" s="16"/>
      <c r="J3" s="18"/>
      <c r="K3" s="18"/>
      <c r="L3" s="19"/>
    </row>
    <row r="4" spans="1:16" ht="15" thickBot="1" x14ac:dyDescent="0.4">
      <c r="A4" s="16"/>
      <c r="B4" s="9"/>
      <c r="C4" s="10"/>
      <c r="D4" s="11"/>
      <c r="E4" s="12"/>
      <c r="F4" s="18"/>
      <c r="G4" s="18"/>
      <c r="H4" s="19"/>
      <c r="I4" s="16"/>
      <c r="J4" s="18"/>
      <c r="K4" s="18"/>
      <c r="L4" s="19"/>
    </row>
    <row r="5" spans="1:16" ht="15" thickBot="1" x14ac:dyDescent="0.4">
      <c r="A5" s="20"/>
      <c r="B5" s="9"/>
      <c r="C5" s="10"/>
      <c r="D5" s="11"/>
      <c r="E5" s="17"/>
      <c r="F5" s="21"/>
      <c r="G5" s="21"/>
      <c r="H5" s="22"/>
      <c r="I5" s="20"/>
      <c r="J5" s="21"/>
      <c r="K5" s="21"/>
      <c r="L5" s="22"/>
    </row>
    <row r="6" spans="1:16" ht="15" thickBot="1" x14ac:dyDescent="0.4">
      <c r="A6" s="1"/>
      <c r="B6" s="2"/>
      <c r="C6" s="2"/>
      <c r="D6" s="3"/>
      <c r="E6" s="4"/>
      <c r="F6" s="5"/>
      <c r="G6" s="5"/>
      <c r="H6" s="6"/>
      <c r="I6" s="7"/>
      <c r="J6" s="5"/>
      <c r="K6" s="5"/>
      <c r="L6" s="6"/>
      <c r="O6" s="87"/>
    </row>
    <row r="7" spans="1:16" ht="15" thickBot="1" x14ac:dyDescent="0.4">
      <c r="A7" s="8"/>
      <c r="B7" s="9"/>
      <c r="C7" s="10"/>
      <c r="D7" s="11"/>
      <c r="E7" s="17"/>
      <c r="F7" s="23"/>
      <c r="G7" s="23"/>
      <c r="H7" s="11"/>
      <c r="I7" s="8">
        <f>($K$13/(($B$99+$B$100+$B$101+$B$102+$B$103+$B$104+$B$105+$B$106+$B$107)*8))*($B$98-$B$108-$B$109)*8</f>
        <v>94928478.543563068</v>
      </c>
      <c r="J7" s="23">
        <f>I7/1000000</f>
        <v>94.928478543563074</v>
      </c>
      <c r="K7" s="23"/>
      <c r="L7" s="11"/>
      <c r="O7" s="87"/>
    </row>
    <row r="8" spans="1:16" ht="15" thickBot="1" x14ac:dyDescent="0.4">
      <c r="A8" s="16"/>
      <c r="B8" s="9"/>
      <c r="C8" s="10"/>
      <c r="D8" s="11"/>
      <c r="E8" s="17"/>
      <c r="F8" s="18"/>
      <c r="G8" s="18"/>
      <c r="H8" s="19"/>
      <c r="I8" s="16"/>
      <c r="J8" s="18"/>
      <c r="K8" s="18"/>
      <c r="L8" s="19"/>
      <c r="O8" s="87"/>
    </row>
    <row r="9" spans="1:16" ht="15" thickBot="1" x14ac:dyDescent="0.4">
      <c r="A9" s="16"/>
      <c r="B9" s="9"/>
      <c r="C9" s="10"/>
      <c r="D9" s="11"/>
      <c r="E9" s="17"/>
      <c r="F9" s="18"/>
      <c r="G9" s="18"/>
      <c r="H9" s="19"/>
      <c r="I9" s="20">
        <f>(I13/(($B$99+$B$100+$B$101+$B$102+$B$103+$B$104+$B$105+$B$106+$B$107)*8))*($B$98-$B$108)*8</f>
        <v>96228868.660598189</v>
      </c>
      <c r="J9" s="21">
        <f>I9/1000000</f>
        <v>96.228868660598195</v>
      </c>
      <c r="K9" s="18"/>
      <c r="L9" s="19"/>
      <c r="O9" s="87"/>
    </row>
    <row r="10" spans="1:16" ht="15" thickBot="1" x14ac:dyDescent="0.4">
      <c r="A10" s="20"/>
      <c r="B10" s="9"/>
      <c r="C10" s="10"/>
      <c r="D10" s="11"/>
      <c r="E10" s="24"/>
      <c r="F10" s="21"/>
      <c r="G10" s="21"/>
      <c r="H10" s="22"/>
      <c r="I10" s="20">
        <f>(I14*(B98-B108)*8)/((B102+B103+B104+B105+B106+B107)*8)</f>
        <v>97496706.19235836</v>
      </c>
      <c r="J10" s="21">
        <f>I10/1000000</f>
        <v>97.49670619235836</v>
      </c>
      <c r="K10" s="21"/>
      <c r="L10" s="22"/>
    </row>
    <row r="11" spans="1:16" ht="15" thickBot="1" x14ac:dyDescent="0.4"/>
    <row r="12" spans="1:16" ht="15" thickBot="1" x14ac:dyDescent="0.4">
      <c r="A12" s="1" t="s">
        <v>51</v>
      </c>
      <c r="B12" s="40">
        <f>List1!E16</f>
        <v>1500</v>
      </c>
      <c r="C12" s="41" t="s">
        <v>14</v>
      </c>
      <c r="F12" t="s">
        <v>52</v>
      </c>
      <c r="H12" t="s">
        <v>53</v>
      </c>
      <c r="J12" t="s">
        <v>54</v>
      </c>
      <c r="L12" t="s">
        <v>55</v>
      </c>
      <c r="N12" t="s">
        <v>56</v>
      </c>
      <c r="O12" t="s">
        <v>41</v>
      </c>
      <c r="P12" t="s">
        <v>6</v>
      </c>
    </row>
    <row r="13" spans="1:16" ht="15" thickBot="1" x14ac:dyDescent="0.4">
      <c r="A13" s="1" t="s">
        <v>57</v>
      </c>
      <c r="B13" s="42">
        <f>B102+B103+B104+B105+B106+B107</f>
        <v>1518</v>
      </c>
      <c r="C13" s="41" t="s">
        <v>14</v>
      </c>
      <c r="F13" t="s">
        <v>30</v>
      </c>
      <c r="G13" s="43">
        <f>C2</f>
        <v>100000000</v>
      </c>
      <c r="H13" t="s">
        <v>30</v>
      </c>
      <c r="I13" s="43">
        <f>H2</f>
        <v>100000000</v>
      </c>
      <c r="J13" t="s">
        <v>30</v>
      </c>
      <c r="K13" s="43">
        <f>H2</f>
        <v>100000000</v>
      </c>
      <c r="L13" t="s">
        <v>30</v>
      </c>
      <c r="M13" s="43">
        <f>($M$16*($B$99+$B$100+$B$101+$B$102+$B$103+$B$104+$B$105+$B$106+$B$107)*8)/(($B$98-$B$108-$B$109)*8)</f>
        <v>105342465.75342466</v>
      </c>
      <c r="N13" t="s">
        <v>30</v>
      </c>
      <c r="O13">
        <f>G13*G17+I13*I17+K13*K17+M13*M17</f>
        <v>100000000</v>
      </c>
      <c r="P13">
        <f>O13/1000000</f>
        <v>100</v>
      </c>
    </row>
    <row r="14" spans="1:16" x14ac:dyDescent="0.35">
      <c r="F14" t="s">
        <v>29</v>
      </c>
      <c r="G14" s="43">
        <f>($C$2/(($B$99+$B$100+$B$101+$B$102+$B$103+$B$104+$B$105+$B$106+$B$107)*8))*($B$98)*8</f>
        <v>97529258.777633294</v>
      </c>
      <c r="H14" t="s">
        <v>29</v>
      </c>
      <c r="I14" s="43">
        <f>C2</f>
        <v>100000000</v>
      </c>
      <c r="J14" t="s">
        <v>29</v>
      </c>
      <c r="K14" s="43">
        <f>($K$13/(($B$99+$B$100+$B$101+$B$102+$B$103+$B$104+$B$105+$B$106+$B$107)*8))*($B$98)*8</f>
        <v>97529258.777633294</v>
      </c>
      <c r="L14" t="s">
        <v>29</v>
      </c>
      <c r="M14" s="43">
        <f>($M$13/(($B$99+$B$100+$B$101+$B$102+$B$103+$B$104+$B$105+$B$106+$B$107)*8))*($B$98)*8</f>
        <v>102739726.02739726</v>
      </c>
      <c r="N14" t="s">
        <v>29</v>
      </c>
      <c r="O14">
        <f>G14*G17+I14*I17+K14*K17+M14*M17</f>
        <v>97529258.777633294</v>
      </c>
      <c r="P14">
        <f t="shared" ref="P14:P16" si="0">O14/1000000</f>
        <v>97.529258777633288</v>
      </c>
    </row>
    <row r="15" spans="1:16" x14ac:dyDescent="0.35">
      <c r="F15" t="s">
        <v>28</v>
      </c>
      <c r="G15" s="43">
        <f>($C$2/(($B$99+$B$100+$B$101+$B$102+$B$103+$B$104+$B$105+$B$106+$B$107)*8))*($B$98-$B$108)*8</f>
        <v>96228868.660598189</v>
      </c>
      <c r="H15" s="44" t="s">
        <v>28</v>
      </c>
      <c r="I15" s="43">
        <f>(I13/(($B$99+$B$100+$B$101+$B$102+$B$103+$B$104+$B$105+$B$106+$B$107)*8))*($B$98-$B$108)*8</f>
        <v>96228868.660598189</v>
      </c>
      <c r="J15" s="44" t="s">
        <v>28</v>
      </c>
      <c r="K15" s="43">
        <f>C2</f>
        <v>100000000</v>
      </c>
      <c r="L15" t="s">
        <v>28</v>
      </c>
      <c r="M15" s="43">
        <f>($M$13/(($B$99+$B$100+$B$101+$B$102+$B$103+$B$104+$B$105+$B$106+$B$107)*8))*($B$98-$B$108)*8</f>
        <v>101369863.01369862</v>
      </c>
      <c r="N15" t="s">
        <v>28</v>
      </c>
      <c r="O15">
        <f>G15*G17+I15*I17+K15*K17+M15*M17</f>
        <v>96228868.660598189</v>
      </c>
      <c r="P15">
        <f t="shared" si="0"/>
        <v>96.228868660598195</v>
      </c>
    </row>
    <row r="16" spans="1:16" x14ac:dyDescent="0.35">
      <c r="F16" t="s">
        <v>24</v>
      </c>
      <c r="G16" s="43">
        <f>($G$13/(($B$99+$B$100+$B$101+$B$102+$B$103+$B$104+$B$105+$B$106+$B$107)*8))*($B$98-$B$108-$B$109)*8</f>
        <v>94928478.543563068</v>
      </c>
      <c r="H16" s="44" t="s">
        <v>24</v>
      </c>
      <c r="I16" s="43">
        <f>($I$13/(($B$99+$B$100+$B$101+$B$102+$B$103+$B$104+$B$105+$B$106+$B$107)*8))*($B$98-$B$108-$B$109)*8</f>
        <v>94928478.543563068</v>
      </c>
      <c r="J16" s="44" t="s">
        <v>24</v>
      </c>
      <c r="K16" s="43">
        <f>($K$13/(($B$99+$B$100+$B$101+$B$102+$B$103+$B$104+$B$105+$B$106+$B$107)*8))*($B$98-$B$108-$B$109)*8</f>
        <v>94928478.543563068</v>
      </c>
      <c r="L16" t="s">
        <v>24</v>
      </c>
      <c r="M16" s="43">
        <f>C2</f>
        <v>100000000</v>
      </c>
      <c r="N16" t="s">
        <v>24</v>
      </c>
      <c r="O16">
        <f>G16*G17+I16*I17+K16*K17+M16*M17</f>
        <v>94928478.543563068</v>
      </c>
      <c r="P16">
        <f t="shared" si="0"/>
        <v>94.928478543563074</v>
      </c>
    </row>
    <row r="17" spans="5:13" x14ac:dyDescent="0.35">
      <c r="E17" t="s">
        <v>58</v>
      </c>
      <c r="G17">
        <f>IF(D2=1,1,0)</f>
        <v>1</v>
      </c>
      <c r="I17">
        <f>IF(D2=2,1,0)</f>
        <v>0</v>
      </c>
      <c r="J17" s="44"/>
      <c r="K17">
        <f>IF(D2=3,1,0)</f>
        <v>0</v>
      </c>
      <c r="M17">
        <f>IF(D2=4,1,0)</f>
        <v>0</v>
      </c>
    </row>
    <row r="19" spans="5:13" x14ac:dyDescent="0.35">
      <c r="E19" s="45" t="s">
        <v>59</v>
      </c>
      <c r="J19" t="s">
        <v>60</v>
      </c>
      <c r="M19" s="44"/>
    </row>
    <row r="22" spans="5:13" ht="9" customHeight="1" thickBot="1" x14ac:dyDescent="0.4"/>
    <row r="23" spans="5:13" ht="15" hidden="1" thickBot="1" x14ac:dyDescent="0.4"/>
    <row r="24" spans="5:13" ht="15" hidden="1" thickBot="1" x14ac:dyDescent="0.4"/>
    <row r="25" spans="5:13" ht="15" hidden="1" thickBot="1" x14ac:dyDescent="0.4"/>
    <row r="26" spans="5:13" ht="15" hidden="1" thickBot="1" x14ac:dyDescent="0.4"/>
    <row r="27" spans="5:13" ht="15" hidden="1" thickBot="1" x14ac:dyDescent="0.4"/>
    <row r="28" spans="5:13" ht="15" hidden="1" thickBot="1" x14ac:dyDescent="0.4"/>
    <row r="29" spans="5:13" ht="15" hidden="1" thickBot="1" x14ac:dyDescent="0.4"/>
    <row r="30" spans="5:13" ht="15" hidden="1" thickBot="1" x14ac:dyDescent="0.4"/>
    <row r="31" spans="5:13" ht="15" hidden="1" thickBot="1" x14ac:dyDescent="0.4"/>
    <row r="32" spans="5:13" ht="15" hidden="1" thickBot="1" x14ac:dyDescent="0.4"/>
    <row r="33" ht="15" hidden="1" thickBot="1" x14ac:dyDescent="0.4"/>
    <row r="34" ht="15" hidden="1" thickBot="1" x14ac:dyDescent="0.4"/>
    <row r="35" ht="10.5" hidden="1" customHeight="1" thickBot="1" x14ac:dyDescent="0.4"/>
    <row r="36" ht="15" hidden="1" thickBot="1" x14ac:dyDescent="0.4"/>
    <row r="37" ht="15" hidden="1" thickBot="1" x14ac:dyDescent="0.4"/>
    <row r="38" ht="15" hidden="1" thickBot="1" x14ac:dyDescent="0.4"/>
    <row r="39" ht="15" hidden="1" thickBot="1" x14ac:dyDescent="0.4"/>
    <row r="40" ht="15" hidden="1" thickBot="1" x14ac:dyDescent="0.4"/>
    <row r="41" ht="15" hidden="1" thickBot="1" x14ac:dyDescent="0.4"/>
    <row r="42" ht="15" hidden="1" thickBot="1" x14ac:dyDescent="0.4"/>
    <row r="43" ht="15" hidden="1" thickBot="1" x14ac:dyDescent="0.4"/>
    <row r="44" ht="15" hidden="1" thickBot="1" x14ac:dyDescent="0.4"/>
    <row r="45" ht="15" hidden="1" thickBot="1" x14ac:dyDescent="0.4"/>
    <row r="46" ht="15" hidden="1" thickBot="1" x14ac:dyDescent="0.4"/>
    <row r="47" ht="15" hidden="1" thickBot="1" x14ac:dyDescent="0.4"/>
    <row r="48" ht="15" hidden="1" thickBot="1" x14ac:dyDescent="0.4"/>
    <row r="49" ht="15" hidden="1" thickBot="1" x14ac:dyDescent="0.4"/>
    <row r="50" ht="15" hidden="1" thickBot="1" x14ac:dyDescent="0.4"/>
    <row r="51" ht="15" hidden="1" thickBot="1" x14ac:dyDescent="0.4"/>
    <row r="52" ht="15" hidden="1" thickBot="1" x14ac:dyDescent="0.4"/>
    <row r="53" ht="15" hidden="1" thickBot="1" x14ac:dyDescent="0.4"/>
    <row r="54" ht="15" hidden="1" thickBot="1" x14ac:dyDescent="0.4"/>
    <row r="55" ht="15" hidden="1" thickBot="1" x14ac:dyDescent="0.4"/>
    <row r="56" ht="15" hidden="1" thickBot="1" x14ac:dyDescent="0.4"/>
    <row r="57" ht="15" hidden="1" thickBot="1" x14ac:dyDescent="0.4"/>
    <row r="58" ht="15" hidden="1" thickBot="1" x14ac:dyDescent="0.4"/>
    <row r="59" ht="15" hidden="1" thickBot="1" x14ac:dyDescent="0.4"/>
    <row r="60" ht="15" hidden="1" thickBot="1" x14ac:dyDescent="0.4"/>
    <row r="61" ht="15" hidden="1" thickBot="1" x14ac:dyDescent="0.4"/>
    <row r="62" ht="15" hidden="1" thickBot="1" x14ac:dyDescent="0.4"/>
    <row r="63" ht="15" hidden="1" thickBot="1" x14ac:dyDescent="0.4"/>
    <row r="64" ht="15" hidden="1" thickBot="1" x14ac:dyDescent="0.4"/>
    <row r="65" ht="15" hidden="1" thickBot="1" x14ac:dyDescent="0.4"/>
    <row r="66" ht="15" hidden="1" thickBot="1" x14ac:dyDescent="0.4"/>
    <row r="67" ht="13" hidden="1" customHeight="1" thickBot="1" x14ac:dyDescent="0.4"/>
    <row r="68" ht="15" hidden="1" thickBot="1" x14ac:dyDescent="0.4"/>
    <row r="69" ht="15" hidden="1" thickBot="1" x14ac:dyDescent="0.4"/>
    <row r="70" ht="15" hidden="1" thickBot="1" x14ac:dyDescent="0.4"/>
    <row r="71" ht="15" hidden="1" thickBot="1" x14ac:dyDescent="0.4"/>
    <row r="72" ht="15" hidden="1" thickBot="1" x14ac:dyDescent="0.4"/>
    <row r="73" ht="15" hidden="1" thickBot="1" x14ac:dyDescent="0.4"/>
    <row r="74" ht="15" hidden="1" thickBot="1" x14ac:dyDescent="0.4"/>
    <row r="75" ht="15" hidden="1" thickBot="1" x14ac:dyDescent="0.4"/>
    <row r="76" ht="15" hidden="1" thickBot="1" x14ac:dyDescent="0.4"/>
    <row r="77" ht="15" hidden="1" thickBot="1" x14ac:dyDescent="0.4"/>
    <row r="78" ht="15" hidden="1" thickBot="1" x14ac:dyDescent="0.4"/>
    <row r="79" ht="15" hidden="1" thickBot="1" x14ac:dyDescent="0.4"/>
    <row r="80" ht="15" hidden="1" thickBot="1" x14ac:dyDescent="0.4"/>
    <row r="81" ht="15" hidden="1" thickBot="1" x14ac:dyDescent="0.4"/>
    <row r="82" ht="15" hidden="1" thickBot="1" x14ac:dyDescent="0.4"/>
    <row r="83" ht="15" hidden="1" thickBot="1" x14ac:dyDescent="0.4"/>
    <row r="84" ht="8.15" hidden="1" customHeight="1" thickBot="1" x14ac:dyDescent="0.4"/>
    <row r="85" ht="15" hidden="1" thickBot="1" x14ac:dyDescent="0.4"/>
    <row r="86" ht="15" hidden="1" thickBot="1" x14ac:dyDescent="0.4"/>
    <row r="87" ht="15" hidden="1" thickBot="1" x14ac:dyDescent="0.4"/>
    <row r="88" ht="15" hidden="1" thickBot="1" x14ac:dyDescent="0.4"/>
    <row r="89" ht="15" hidden="1" thickBot="1" x14ac:dyDescent="0.4"/>
    <row r="90" ht="15" hidden="1" thickBot="1" x14ac:dyDescent="0.4"/>
    <row r="91" ht="15" hidden="1" thickBot="1" x14ac:dyDescent="0.4"/>
    <row r="92" ht="15" hidden="1" thickBot="1" x14ac:dyDescent="0.4"/>
    <row r="93" ht="15" hidden="1" thickBot="1" x14ac:dyDescent="0.4"/>
    <row r="94" ht="15" hidden="1" thickBot="1" x14ac:dyDescent="0.4"/>
    <row r="95" ht="15" hidden="1" thickBot="1" x14ac:dyDescent="0.4"/>
    <row r="96" ht="15" hidden="1" thickBot="1" x14ac:dyDescent="0.4"/>
    <row r="97" spans="1:13" ht="15" thickBot="1" x14ac:dyDescent="0.4">
      <c r="A97" s="25" t="s">
        <v>61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x14ac:dyDescent="0.35">
      <c r="A98" s="28" t="s">
        <v>62</v>
      </c>
      <c r="B98" s="29">
        <f>B12</f>
        <v>1500</v>
      </c>
      <c r="C98" s="30"/>
      <c r="D98" s="30" t="s">
        <v>76</v>
      </c>
      <c r="E98" s="31" t="s">
        <v>77</v>
      </c>
      <c r="F98" s="29" t="s">
        <v>78</v>
      </c>
      <c r="G98" s="30" t="s">
        <v>79</v>
      </c>
      <c r="H98" s="30" t="s">
        <v>80</v>
      </c>
      <c r="I98" s="31"/>
      <c r="J98" s="29"/>
      <c r="K98" s="30"/>
      <c r="L98" s="30"/>
      <c r="M98" s="31"/>
    </row>
    <row r="99" spans="1:13" x14ac:dyDescent="0.35">
      <c r="A99" s="32" t="s">
        <v>63</v>
      </c>
      <c r="B99" s="33">
        <v>7</v>
      </c>
      <c r="C99" s="34"/>
      <c r="D99" s="34">
        <f>SUM(B99:B101)</f>
        <v>20</v>
      </c>
      <c r="E99" s="35">
        <f>SUM(B102:B105,B107)</f>
        <v>18</v>
      </c>
      <c r="F99" s="33">
        <f>B108</f>
        <v>20</v>
      </c>
      <c r="G99" s="34">
        <f>SUM(B109)</f>
        <v>20</v>
      </c>
      <c r="H99" s="34">
        <f>SUM(D99:G99)</f>
        <v>78</v>
      </c>
      <c r="I99" s="35"/>
      <c r="J99" s="33"/>
      <c r="K99" s="34"/>
      <c r="L99" s="34"/>
      <c r="M99" s="35"/>
    </row>
    <row r="100" spans="1:13" x14ac:dyDescent="0.35">
      <c r="A100" s="32" t="s">
        <v>64</v>
      </c>
      <c r="B100" s="33">
        <v>1</v>
      </c>
      <c r="C100" s="34"/>
      <c r="D100" s="34"/>
      <c r="E100" s="35"/>
      <c r="F100" s="33"/>
      <c r="G100" s="34"/>
      <c r="H100" s="34"/>
      <c r="I100" s="35"/>
      <c r="J100" s="33"/>
      <c r="K100" s="34"/>
      <c r="L100" s="34"/>
      <c r="M100" s="35"/>
    </row>
    <row r="101" spans="1:13" x14ac:dyDescent="0.35">
      <c r="A101" s="32" t="s">
        <v>65</v>
      </c>
      <c r="B101" s="33">
        <v>12</v>
      </c>
      <c r="C101" s="34"/>
      <c r="D101" s="34"/>
      <c r="E101" s="35"/>
      <c r="F101" s="33"/>
      <c r="G101" s="34"/>
      <c r="H101" s="34"/>
      <c r="I101" s="35"/>
      <c r="J101" s="33"/>
      <c r="K101" s="34"/>
      <c r="L101" s="34"/>
      <c r="M101" s="35"/>
    </row>
    <row r="102" spans="1:13" x14ac:dyDescent="0.35">
      <c r="A102" s="32" t="s">
        <v>66</v>
      </c>
      <c r="B102" s="33">
        <v>6</v>
      </c>
      <c r="C102" s="34"/>
      <c r="D102" s="34"/>
      <c r="E102" s="35"/>
      <c r="F102" s="33"/>
      <c r="G102" s="34"/>
      <c r="H102" s="34"/>
      <c r="I102" s="35"/>
      <c r="J102" s="33"/>
      <c r="K102" s="34"/>
      <c r="L102" s="34"/>
      <c r="M102" s="35"/>
    </row>
    <row r="103" spans="1:13" x14ac:dyDescent="0.35">
      <c r="A103" s="32" t="s">
        <v>67</v>
      </c>
      <c r="B103" s="33">
        <v>6</v>
      </c>
      <c r="C103" s="34"/>
      <c r="D103" s="34"/>
      <c r="E103" s="35"/>
      <c r="F103" s="33"/>
      <c r="G103" s="34"/>
      <c r="H103" s="34"/>
      <c r="I103" s="35"/>
      <c r="J103" s="33"/>
      <c r="K103" s="34"/>
      <c r="L103" s="34"/>
      <c r="M103" s="35"/>
    </row>
    <row r="104" spans="1:13" x14ac:dyDescent="0.35">
      <c r="A104" s="32" t="s">
        <v>68</v>
      </c>
      <c r="B104" s="33">
        <v>0</v>
      </c>
      <c r="C104" s="34"/>
      <c r="D104" s="34"/>
      <c r="E104" s="35"/>
      <c r="F104" s="33"/>
      <c r="G104" s="34"/>
      <c r="H104" s="34"/>
      <c r="I104" s="35"/>
      <c r="J104" s="33"/>
      <c r="K104" s="34"/>
      <c r="L104" s="34"/>
      <c r="M104" s="35"/>
    </row>
    <row r="105" spans="1:13" x14ac:dyDescent="0.35">
      <c r="A105" s="32" t="s">
        <v>69</v>
      </c>
      <c r="B105" s="33">
        <v>2</v>
      </c>
      <c r="C105" s="34"/>
      <c r="D105" s="34"/>
      <c r="E105" s="35"/>
      <c r="F105" s="33"/>
      <c r="G105" s="34"/>
      <c r="H105" s="34"/>
      <c r="I105" s="35"/>
      <c r="J105" s="33"/>
      <c r="K105" s="34"/>
      <c r="L105" s="34"/>
      <c r="M105" s="35"/>
    </row>
    <row r="106" spans="1:13" x14ac:dyDescent="0.35">
      <c r="A106" s="32" t="s">
        <v>70</v>
      </c>
      <c r="B106" s="33">
        <f>B98</f>
        <v>1500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x14ac:dyDescent="0.35">
      <c r="A107" s="32" t="s">
        <v>71</v>
      </c>
      <c r="B107" s="33">
        <v>4</v>
      </c>
      <c r="C107" s="34"/>
      <c r="D107" s="34"/>
      <c r="E107" s="35"/>
      <c r="F107" s="33"/>
      <c r="G107" s="34"/>
      <c r="H107" s="34"/>
      <c r="I107" s="35"/>
      <c r="J107" s="33"/>
      <c r="K107" s="34"/>
      <c r="L107" s="34"/>
      <c r="M107" s="35"/>
    </row>
    <row r="108" spans="1:13" x14ac:dyDescent="0.35">
      <c r="A108" s="32" t="s">
        <v>72</v>
      </c>
      <c r="B108" s="33">
        <v>20</v>
      </c>
      <c r="C108" s="34"/>
      <c r="D108" s="34" t="s">
        <v>73</v>
      </c>
      <c r="E108" s="35" t="s">
        <v>74</v>
      </c>
      <c r="F108" s="33"/>
      <c r="G108" s="34"/>
      <c r="H108" s="34"/>
      <c r="I108" s="35"/>
      <c r="J108" s="33"/>
      <c r="K108" s="34"/>
      <c r="L108" s="34"/>
      <c r="M108" s="35"/>
    </row>
    <row r="109" spans="1:13" ht="15" thickBot="1" x14ac:dyDescent="0.4">
      <c r="A109" s="36" t="s">
        <v>75</v>
      </c>
      <c r="B109" s="37">
        <f>List1!E21</f>
        <v>20</v>
      </c>
      <c r="C109" s="38"/>
      <c r="D109" s="38">
        <v>20</v>
      </c>
      <c r="E109" s="39">
        <v>60</v>
      </c>
      <c r="F109" s="37"/>
      <c r="G109" s="38"/>
      <c r="H109" s="38"/>
      <c r="I109" s="39"/>
      <c r="J109" s="37"/>
      <c r="K109" s="38"/>
      <c r="L109" s="38"/>
      <c r="M109" s="39"/>
    </row>
  </sheetData>
  <hyperlinks>
    <hyperlink ref="E19" r:id="rId1" xr:uid="{0606B6EF-953F-462A-8DF9-C2D830BEA7C1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6D615065F9944395EE73E3FF8CDC83" ma:contentTypeVersion="11" ma:contentTypeDescription="Vytvoří nový dokument" ma:contentTypeScope="" ma:versionID="1cbfbf786ea16de5007b9206920c282a">
  <xsd:schema xmlns:xsd="http://www.w3.org/2001/XMLSchema" xmlns:xs="http://www.w3.org/2001/XMLSchema" xmlns:p="http://schemas.microsoft.com/office/2006/metadata/properties" xmlns:ns2="c784d88e-ff0a-4253-b5f0-5892185b95b9" targetNamespace="http://schemas.microsoft.com/office/2006/metadata/properties" ma:root="true" ma:fieldsID="06f939a07452faf4920f59e2851de7fe" ns2:_="">
    <xsd:import namespace="c784d88e-ff0a-4253-b5f0-5892185b95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4d88e-ff0a-4253-b5f0-5892185b9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FF21BF-86C7-4A11-8764-D6210F005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4d88e-ff0a-4253-b5f0-5892185b9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0F9EF-A437-4C98-9EDB-F109E9B23A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8B1AC0-0A47-43BF-A1C4-8089EF5EED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Vypocty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 Lystovshchyk</dc:creator>
  <cp:keywords/>
  <dc:description/>
  <cp:lastModifiedBy>Yevhen Lystovshchyk</cp:lastModifiedBy>
  <cp:revision/>
  <cp:lastPrinted>2021-06-10T10:46:04Z</cp:lastPrinted>
  <dcterms:created xsi:type="dcterms:W3CDTF">2015-06-05T18:19:34Z</dcterms:created>
  <dcterms:modified xsi:type="dcterms:W3CDTF">2021-08-03T09:56:51Z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0x010100776D615065F9944395EE73E3FF8CDC83</vt:lpwstr>
  </property>
</Properties>
</file>